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2019 проект" sheetId="1" r:id="rId1"/>
    <sheet name="04.10" sheetId="2" r:id="rId2"/>
  </sheets>
  <definedNames/>
  <calcPr fullCalcOnLoad="1"/>
</workbook>
</file>

<file path=xl/sharedStrings.xml><?xml version="1.0" encoding="utf-8"?>
<sst xmlns="http://schemas.openxmlformats.org/spreadsheetml/2006/main" count="168" uniqueCount="93">
  <si>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</si>
  <si>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</si>
  <si>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000 01 02 00 00 00 0000 000</t>
  </si>
  <si>
    <t>000 01 02 00 00 00 0000 700</t>
  </si>
  <si>
    <t>000 01 02 00 00 05 0000 710</t>
  </si>
  <si>
    <t>000 01 02 00 00 00 0000 800</t>
  </si>
  <si>
    <t>000 01 02 00 00 05 0000 810</t>
  </si>
  <si>
    <t>000 01 03 00 00 00 0000 000</t>
  </si>
  <si>
    <t>000 01 06 00 00 00 0000 000</t>
  </si>
  <si>
    <t>000 01 06 05 00 00 0000 000</t>
  </si>
  <si>
    <t>000 01 06 05 02 05 0000 540</t>
  </si>
  <si>
    <t>в рублях</t>
  </si>
  <si>
    <t>1</t>
  </si>
  <si>
    <t>2</t>
  </si>
  <si>
    <t>5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</si>
  <si>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</si>
  <si>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</si>
  <si>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</si>
  <si>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</si>
  <si>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</si>
  <si>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</si>
  <si>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бюджетом муниципального района кредитов от кредитных организаций  в валюте Российской Федерации</t>
  </si>
  <si>
    <t>Получение кредитов от кредитных организаций бюджетом муниципального района 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</si>
  <si>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</si>
  <si>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 бюджетной системы Российской Федерации  в валюте Российской Федерации</t>
  </si>
  <si>
    <t>Погашение бюджетом муниципального района кредитов от других бюджетов  бюджетной системы Российской Федерации  в валюте Российской Федерации</t>
  </si>
  <si>
    <t>Возврат бюджетных кредитов, предоставленные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</si>
  <si>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</si>
  <si>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</si>
  <si>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000 01 06 05 02 05 0000 640</t>
  </si>
  <si>
    <t>Бюджетные кредиты на частичное покрытие дефицитов, покрытие временных кассовых разрывов</t>
  </si>
  <si>
    <t>000 01 06 05 00 00 0000 500</t>
  </si>
  <si>
    <t>Предоставление бюджетных кредитов внутри страны в валюте Российской Федерации</t>
  </si>
  <si>
    <t>Приложение 2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</si>
  <si>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</si>
  <si>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 xml:space="preserve"> 000 01 06 05 02 05 0012 640</t>
  </si>
  <si>
    <t>000 01 06 05 02 05 0012 540</t>
  </si>
  <si>
    <t>000 01 03 01 00 05 0000 700</t>
  </si>
  <si>
    <t>000 01 03 01 00 05 0000 710</t>
  </si>
  <si>
    <t>000 01 03 01 00 05 0000 800</t>
  </si>
  <si>
    <t>Получение кредитов от кредитных 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</si>
  <si>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</si>
  <si>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</si>
  <si>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в том числе: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</si>
  <si>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</si>
  <si>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</si>
  <si>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Получение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</si>
  <si>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Получение бюджетных кредитов из областного бюджета   для частичного покрытия дефицита бюджета муниципального района</t>
  </si>
  <si>
    <t>000 01 03 01 00 05 0000 810</t>
  </si>
  <si>
    <t>Погашение бюджетных кредитов из областного бюджета   для частичного покрытия дефицита бюджета муниципального района</t>
  </si>
  <si>
    <t xml:space="preserve"> Погашение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</si>
  <si>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Предоставление бюджетных кредитов на частичное покрытие дефицитов, покрытие временных кассовых разрывов, рефинансировпние ранее полученных из областного бюджета бюджетных кредитов</t>
  </si>
  <si>
    <t>Возврат кредитов</t>
  </si>
  <si>
    <t>итого</t>
  </si>
  <si>
    <t>Проценты</t>
  </si>
  <si>
    <t>05.12.2016 № 02-32/16-23 (бюджетный)      785 500</t>
  </si>
  <si>
    <t>27.12.2016 № 02-32/16-40 (бюджетный)        1 500 000</t>
  </si>
  <si>
    <t>Изменение остатков средств на счетах по учету средств бюджета</t>
  </si>
  <si>
    <t>000 01 05 00 00 00 0000 000</t>
  </si>
  <si>
    <t>Изменение прочих остатков средств бюджета муниципального района</t>
  </si>
  <si>
    <t>492 01 05 02 01 05 0000 000</t>
  </si>
  <si>
    <t>декабрь 2019</t>
  </si>
  <si>
    <t>июнь 2020</t>
  </si>
  <si>
    <t>10.08.2017 № 02-32/17-15   (бюджетный)        152 200</t>
  </si>
  <si>
    <t>ноябрь 2019</t>
  </si>
  <si>
    <t>октябрь 2020</t>
  </si>
  <si>
    <t>10.10.2017 № 02-32/17-32   (бюджетный)        1990800</t>
  </si>
  <si>
    <t>Источники финансирования дефицита бюджета - всего</t>
  </si>
  <si>
    <t>Источники  внутреннего финансирования дефицитов бюджета</t>
  </si>
  <si>
    <t>к  решению Думы Поддорского муниципального района  "О бюджете Поддорского муниципального района на 2019 год и на плановый период 2020 и 2021 годов"</t>
  </si>
  <si>
    <t>декабрь 2020</t>
  </si>
  <si>
    <t>апрель 2021</t>
  </si>
  <si>
    <t>2019 год Кредиты</t>
  </si>
  <si>
    <t>29.05.2018 № 02-32/18-24   (бюджетный)        2447200</t>
  </si>
  <si>
    <t>11</t>
  </si>
  <si>
    <t>% 2019( 2142700+130000)  руб (8,25%)</t>
  </si>
  <si>
    <t>сумма кредита (2272700/36)</t>
  </si>
  <si>
    <t>виртуальный  2142,7+130,0(2 мес 2019) кр. Орган (бер вноябре  2019 году) 2272700</t>
  </si>
  <si>
    <t>сумма кредита (3779700/36)</t>
  </si>
  <si>
    <t>% 2020 (2264700+780000+735000)  руб (8,25%)</t>
  </si>
  <si>
    <t>сумма кредита (4678300/36)</t>
  </si>
  <si>
    <t>% 2021 (1468300+780000+1260000+ 1170000)  руб (8,25%)</t>
  </si>
  <si>
    <t>Источники внутреннего финансирования дефицита бюджета  Поддорского муниципального района  на 2019 год и на плановый период 2020 и 2021 годов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</si>
  <si>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</si>
  <si>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</si>
  <si>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</si>
  <si>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</si>
  <si>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</si>
  <si>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</si>
  <si>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</si>
  <si>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</si>
  <si>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</si>
  <si>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Изменение прочих остатков средств бюджетов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</si>
</sst>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#,##0.0"/>
    <numFmt numFmtId="167" formatCode="mmm/yyyy"/>
    <numFmt numFmtId="168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sz val="11"/>
      <color indexed="30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24997000396251678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9"/>
      <color theme="1"/>
      <name val="Times New Roman"/>
      <family val="1"/>
    </font>
    <font>
      <sz val="11"/>
      <color rgb="FF0070C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54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/>
    </xf>
    <xf numFmtId="14" fontId="28" fillId="0" borderId="10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7" fillId="0" borderId="1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 horizontal="left" wrapText="1"/>
    </xf>
    <xf numFmtId="0" fontId="55" fillId="0" borderId="0" xfId="0" applyFont="1" applyFill="1" applyBorder="1" applyAlignment="1">
      <alignment/>
    </xf>
    <xf numFmtId="164" fontId="57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4" fontId="33" fillId="0" borderId="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164" fontId="52" fillId="0" borderId="0" xfId="0" applyNumberFormat="1" applyFont="1" applyFill="1" applyBorder="1" applyAlignment="1">
      <alignment/>
    </xf>
    <xf numFmtId="164" fontId="5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58" fillId="0" borderId="10" xfId="0" applyNumberFormat="1" applyFont="1" applyFill="1" applyBorder="1" applyAlignment="1">
      <alignment horizontal="left" wrapText="1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49" fontId="58" fillId="6" borderId="10" xfId="0" applyNumberFormat="1" applyFont="1" applyFill="1" applyBorder="1" applyAlignment="1">
      <alignment horizontal="right" wrapText="1"/>
    </xf>
    <xf numFmtId="164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164" fontId="28" fillId="12" borderId="10" xfId="0" applyNumberFormat="1" applyFont="1" applyFill="1" applyBorder="1" applyAlignment="1">
      <alignment/>
    </xf>
    <xf numFmtId="49" fontId="58" fillId="33" borderId="10" xfId="0" applyNumberFormat="1" applyFont="1" applyFill="1" applyBorder="1" applyAlignment="1">
      <alignment horizontal="right" wrapText="1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58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2" fontId="28" fillId="0" borderId="14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0" fillId="9" borderId="10" xfId="0" applyFill="1" applyBorder="1" applyAlignment="1">
      <alignment/>
    </xf>
    <xf numFmtId="164" fontId="0" fillId="9" borderId="10" xfId="0" applyNumberFormat="1" applyFill="1" applyBorder="1" applyAlignment="1">
      <alignment/>
    </xf>
    <xf numFmtId="49" fontId="58" fillId="9" borderId="10" xfId="0" applyNumberFormat="1" applyFont="1" applyFill="1" applyBorder="1" applyAlignment="1">
      <alignment horizontal="right" wrapText="1"/>
    </xf>
    <xf numFmtId="49" fontId="58" fillId="34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26">
      <selection activeCell="G35" sqref="G35"/>
    </sheetView>
  </sheetViews>
  <sheetFormatPr defaultColWidth="9.140625" defaultRowHeight="15"/>
  <cols>
    <col min="1" max="1" width="51.421875" style="0" customWidth="1"/>
    <col min="2" max="2" width="22.28125" style="0" customWidth="1"/>
    <col min="3" max="3" width="15.57421875" style="1" customWidth="1"/>
    <col min="4" max="4" width="13.28125" style="31" customWidth="1"/>
    <col min="5" max="5" width="14.00390625" style="0" customWidth="1"/>
    <col min="6" max="6" width="13.421875" style="0" customWidth="1"/>
    <col min="7" max="7" width="10.28125" style="0" customWidth="1"/>
    <col min="8" max="8" width="20.421875" style="0" customWidth="1"/>
    <col min="9" max="9" width="13.57421875" style="0" customWidth="1"/>
    <col min="10" max="10" width="12.421875" style="0" customWidth="1"/>
    <col min="13" max="13" width="16.140625" style="0" customWidth="1"/>
    <col min="14" max="14" width="15.57421875" style="0" customWidth="1"/>
  </cols>
  <sheetData>
    <row r="1" spans="1:5" ht="15">
      <c r="A1" s="5"/>
      <c r="B1" s="36"/>
      <c r="C1" s="36"/>
      <c r="D1" s="80" t="s">
        <v>33</v>
      </c>
      <c r="E1" s="80"/>
    </row>
    <row r="2" spans="1:5" ht="45" customHeight="1">
      <c r="A2" s="5"/>
      <c r="B2" s="35"/>
      <c r="C2" s="81" t="s">
        <v>69</v>
      </c>
      <c r="D2" s="81"/>
      <c r="E2" s="81"/>
    </row>
    <row r="3" spans="1:3" ht="6" customHeight="1">
      <c r="A3" s="5"/>
      <c r="B3" s="6"/>
      <c r="C3" s="7"/>
    </row>
    <row r="4" spans="1:5" ht="24" customHeight="1">
      <c r="A4" s="82" t="s">
        <v>82</v>
      </c>
      <c r="B4" s="82"/>
      <c r="C4" s="82"/>
      <c r="D4" s="82"/>
      <c r="E4" s="82"/>
    </row>
    <row r="5" spans="1:5" ht="14.25" customHeight="1">
      <c r="A5" s="8"/>
      <c r="B5" s="8"/>
      <c r="C5" s="7"/>
      <c r="E5" s="7" t="s">
        <v>11</v>
      </c>
    </row>
    <row r="6" spans="1:5" ht="34.5" customHeight="1">
      <c r="A6" s="9" t="s">
        <v>0</v>
      </c>
      <c r="B6" s="9" t="s">
        <v>1</v>
      </c>
      <c r="C6" s="34">
        <v>2019</v>
      </c>
      <c r="D6" s="34">
        <v>2020</v>
      </c>
      <c r="E6" s="34">
        <v>2021</v>
      </c>
    </row>
    <row r="7" spans="1:5" ht="10.5" customHeight="1">
      <c r="A7" s="10" t="s">
        <v>12</v>
      </c>
      <c r="B7" s="37" t="s">
        <v>13</v>
      </c>
      <c r="C7" s="37">
        <v>3</v>
      </c>
      <c r="D7" s="38">
        <v>4</v>
      </c>
      <c r="E7" s="37" t="s">
        <v>14</v>
      </c>
    </row>
    <row r="8" spans="1:5" ht="12" customHeight="1">
      <c r="A8" s="12" t="s">
        <v>67</v>
      </c>
      <c r="B8" s="9"/>
      <c r="C8" s="33">
        <v>0</v>
      </c>
      <c r="D8" s="33">
        <v>0</v>
      </c>
      <c r="E8" s="2">
        <v>0</v>
      </c>
    </row>
    <row r="9" spans="1:5" ht="12" customHeight="1">
      <c r="A9" s="12" t="s">
        <v>43</v>
      </c>
      <c r="B9" s="9"/>
      <c r="C9" s="33"/>
      <c r="D9" s="33"/>
      <c r="E9" s="2"/>
    </row>
    <row r="10" spans="1:5" ht="15" customHeight="1">
      <c r="A10" s="12" t="s">
        <v>68</v>
      </c>
      <c r="B10" s="9"/>
      <c r="C10" s="33">
        <v>0</v>
      </c>
      <c r="D10" s="33">
        <f>D11+D16</f>
        <v>0</v>
      </c>
      <c r="E10" s="33">
        <f>E11+E16</f>
        <v>0</v>
      </c>
    </row>
    <row r="11" spans="1:5" ht="23.25" customHeight="1">
      <c r="A11" s="3" t="s">
        <v>15</v>
      </c>
      <c r="B11" s="76" t="s">
        <v>2</v>
      </c>
      <c r="C11" s="11">
        <f>C12+C14</f>
        <v>2142700</v>
      </c>
      <c r="D11" s="39">
        <f>D12+D14</f>
        <v>2264700</v>
      </c>
      <c r="E11" s="11">
        <f>E12+E14</f>
        <v>1468300</v>
      </c>
    </row>
    <row r="12" spans="1:5" ht="24" customHeight="1">
      <c r="A12" s="4" t="s">
        <v>40</v>
      </c>
      <c r="B12" s="77" t="s">
        <v>3</v>
      </c>
      <c r="C12" s="2">
        <f>C13</f>
        <v>2272700</v>
      </c>
      <c r="D12" s="2">
        <f>D13</f>
        <v>3779700</v>
      </c>
      <c r="E12" s="2">
        <f>E13</f>
        <v>4678300</v>
      </c>
    </row>
    <row r="13" spans="1:8" ht="24" customHeight="1">
      <c r="A13" s="12" t="s">
        <v>22</v>
      </c>
      <c r="B13" s="77" t="s">
        <v>4</v>
      </c>
      <c r="C13" s="2">
        <v>2272700</v>
      </c>
      <c r="D13" s="33">
        <v>3779700</v>
      </c>
      <c r="E13" s="2">
        <v>4678300</v>
      </c>
      <c r="H13" s="71"/>
    </row>
    <row r="14" spans="1:5" ht="24" customHeight="1">
      <c r="A14" s="12" t="s">
        <v>20</v>
      </c>
      <c r="B14" s="77" t="s">
        <v>5</v>
      </c>
      <c r="C14" s="2">
        <f>C15</f>
        <v>-130000</v>
      </c>
      <c r="D14" s="2">
        <f>D15</f>
        <v>-1515000</v>
      </c>
      <c r="E14" s="2">
        <f>E15</f>
        <v>-3210000</v>
      </c>
    </row>
    <row r="15" spans="1:8" ht="24" customHeight="1">
      <c r="A15" s="12" t="s">
        <v>21</v>
      </c>
      <c r="B15" s="77" t="s">
        <v>6</v>
      </c>
      <c r="C15" s="2">
        <v>-130000</v>
      </c>
      <c r="D15" s="33">
        <v>-1515000</v>
      </c>
      <c r="E15" s="2">
        <v>-3210000</v>
      </c>
      <c r="H15" s="71"/>
    </row>
    <row r="16" spans="1:5" ht="25.5" customHeight="1">
      <c r="A16" s="13" t="s">
        <v>16</v>
      </c>
      <c r="B16" s="76" t="s">
        <v>7</v>
      </c>
      <c r="C16" s="11">
        <f>C18+C24</f>
        <v>-2142700</v>
      </c>
      <c r="D16" s="39">
        <f>D18+D24</f>
        <v>-2264700</v>
      </c>
      <c r="E16" s="11">
        <f>E17</f>
        <v>-1468300</v>
      </c>
    </row>
    <row r="17" spans="1:5" ht="26.25" customHeight="1">
      <c r="A17" s="14" t="s">
        <v>41</v>
      </c>
      <c r="B17" s="78" t="s">
        <v>42</v>
      </c>
      <c r="C17" s="11">
        <f>C19+C23</f>
        <v>-2142700</v>
      </c>
      <c r="D17" s="39">
        <f>D19+D23</f>
        <v>-2264700</v>
      </c>
      <c r="E17" s="11">
        <f>E23</f>
        <v>-1468300</v>
      </c>
    </row>
    <row r="18" spans="1:5" ht="27" customHeight="1">
      <c r="A18" s="12" t="s">
        <v>23</v>
      </c>
      <c r="B18" s="77" t="s">
        <v>37</v>
      </c>
      <c r="C18" s="2">
        <f>C19</f>
        <v>0</v>
      </c>
      <c r="D18" s="33">
        <f>D19</f>
        <v>0</v>
      </c>
      <c r="E18" s="2">
        <f>E19</f>
        <v>0</v>
      </c>
    </row>
    <row r="19" spans="1:5" ht="36" customHeight="1">
      <c r="A19" s="12" t="s">
        <v>17</v>
      </c>
      <c r="B19" s="77" t="s">
        <v>38</v>
      </c>
      <c r="C19" s="2">
        <v>0</v>
      </c>
      <c r="D19" s="33">
        <v>0</v>
      </c>
      <c r="E19" s="2">
        <v>0</v>
      </c>
    </row>
    <row r="20" spans="1:5" ht="12" customHeight="1">
      <c r="A20" s="15" t="s">
        <v>43</v>
      </c>
      <c r="B20" s="77"/>
      <c r="C20" s="2"/>
      <c r="D20" s="33"/>
      <c r="E20" s="2"/>
    </row>
    <row r="21" spans="1:5" ht="34.5" customHeight="1">
      <c r="A21" s="15" t="s">
        <v>46</v>
      </c>
      <c r="B21" s="79" t="s">
        <v>38</v>
      </c>
      <c r="C21" s="2">
        <v>0</v>
      </c>
      <c r="D21" s="33">
        <v>0</v>
      </c>
      <c r="E21" s="2">
        <v>0</v>
      </c>
    </row>
    <row r="22" spans="1:5" ht="30" customHeight="1">
      <c r="A22" s="16" t="s">
        <v>47</v>
      </c>
      <c r="B22" s="79" t="s">
        <v>38</v>
      </c>
      <c r="C22" s="2">
        <v>0</v>
      </c>
      <c r="D22" s="33">
        <v>0</v>
      </c>
      <c r="E22" s="2">
        <v>0</v>
      </c>
    </row>
    <row r="23" spans="1:5" ht="39" customHeight="1">
      <c r="A23" s="17" t="s">
        <v>44</v>
      </c>
      <c r="B23" s="78" t="s">
        <v>45</v>
      </c>
      <c r="C23" s="33">
        <f aca="true" t="shared" si="0" ref="C23:E24">C24</f>
        <v>-2142700</v>
      </c>
      <c r="D23" s="33">
        <f t="shared" si="0"/>
        <v>-2264700</v>
      </c>
      <c r="E23" s="2">
        <f t="shared" si="0"/>
        <v>-1468300</v>
      </c>
    </row>
    <row r="24" spans="1:5" ht="34.5" customHeight="1">
      <c r="A24" s="12" t="s">
        <v>24</v>
      </c>
      <c r="B24" s="77" t="s">
        <v>39</v>
      </c>
      <c r="C24" s="33">
        <f t="shared" si="0"/>
        <v>-2142700</v>
      </c>
      <c r="D24" s="33">
        <f t="shared" si="0"/>
        <v>-2264700</v>
      </c>
      <c r="E24" s="2">
        <f t="shared" si="0"/>
        <v>-1468300</v>
      </c>
    </row>
    <row r="25" spans="1:5" ht="33.75" customHeight="1">
      <c r="A25" s="12" t="s">
        <v>25</v>
      </c>
      <c r="B25" s="77" t="s">
        <v>48</v>
      </c>
      <c r="C25" s="2">
        <f>C28</f>
        <v>-2142700</v>
      </c>
      <c r="D25" s="2">
        <f>D28</f>
        <v>-2264700</v>
      </c>
      <c r="E25" s="2">
        <f>E28</f>
        <v>-1468300</v>
      </c>
    </row>
    <row r="26" spans="1:5" ht="11.25" customHeight="1">
      <c r="A26" s="15" t="s">
        <v>43</v>
      </c>
      <c r="B26" s="77"/>
      <c r="C26" s="2"/>
      <c r="D26" s="33"/>
      <c r="E26" s="2"/>
    </row>
    <row r="27" spans="1:5" ht="35.25" customHeight="1">
      <c r="A27" s="15" t="s">
        <v>50</v>
      </c>
      <c r="B27" s="77" t="s">
        <v>48</v>
      </c>
      <c r="C27" s="2">
        <v>0</v>
      </c>
      <c r="D27" s="33">
        <v>0</v>
      </c>
      <c r="E27" s="2">
        <v>0</v>
      </c>
    </row>
    <row r="28" spans="1:5" ht="35.25" customHeight="1">
      <c r="A28" s="16" t="s">
        <v>49</v>
      </c>
      <c r="B28" s="77" t="s">
        <v>48</v>
      </c>
      <c r="C28" s="2">
        <v>-2142700</v>
      </c>
      <c r="D28" s="33">
        <v>-2264700</v>
      </c>
      <c r="E28" s="2">
        <v>-1468300</v>
      </c>
    </row>
    <row r="29" spans="1:5" ht="24.75" customHeight="1">
      <c r="A29" s="13" t="s">
        <v>18</v>
      </c>
      <c r="B29" s="76" t="s">
        <v>8</v>
      </c>
      <c r="C29" s="11">
        <f>C30</f>
        <v>0</v>
      </c>
      <c r="D29" s="39">
        <f>D30</f>
        <v>0</v>
      </c>
      <c r="E29" s="11">
        <f>E30</f>
        <v>0</v>
      </c>
    </row>
    <row r="30" spans="1:5" ht="24.75" customHeight="1">
      <c r="A30" s="12" t="s">
        <v>19</v>
      </c>
      <c r="B30" s="77" t="s">
        <v>9</v>
      </c>
      <c r="C30" s="2">
        <f>C31+C34</f>
        <v>0</v>
      </c>
      <c r="D30" s="33">
        <f>D31+D34</f>
        <v>0</v>
      </c>
      <c r="E30" s="2">
        <f>E31+E34</f>
        <v>0</v>
      </c>
    </row>
    <row r="31" spans="1:5" ht="22.5" customHeight="1">
      <c r="A31" s="12" t="s">
        <v>26</v>
      </c>
      <c r="B31" s="77" t="s">
        <v>27</v>
      </c>
      <c r="C31" s="2">
        <f aca="true" t="shared" si="1" ref="C31:E32">C32</f>
        <v>0</v>
      </c>
      <c r="D31" s="33">
        <f t="shared" si="1"/>
        <v>0</v>
      </c>
      <c r="E31" s="2">
        <f t="shared" si="1"/>
        <v>0</v>
      </c>
    </row>
    <row r="32" spans="1:5" ht="33.75" customHeight="1">
      <c r="A32" s="13" t="s">
        <v>28</v>
      </c>
      <c r="B32" s="76" t="s">
        <v>29</v>
      </c>
      <c r="C32" s="11">
        <f t="shared" si="1"/>
        <v>0</v>
      </c>
      <c r="D32" s="39">
        <f t="shared" si="1"/>
        <v>0</v>
      </c>
      <c r="E32" s="11">
        <f t="shared" si="1"/>
        <v>0</v>
      </c>
    </row>
    <row r="33" spans="1:5" ht="24" customHeight="1">
      <c r="A33" s="12" t="s">
        <v>30</v>
      </c>
      <c r="B33" s="77" t="s">
        <v>35</v>
      </c>
      <c r="C33" s="2">
        <v>0</v>
      </c>
      <c r="D33" s="33">
        <v>0</v>
      </c>
      <c r="E33" s="2">
        <v>0</v>
      </c>
    </row>
    <row r="34" spans="1:5" ht="24.75" customHeight="1">
      <c r="A34" s="13" t="s">
        <v>32</v>
      </c>
      <c r="B34" s="76" t="s">
        <v>31</v>
      </c>
      <c r="C34" s="11">
        <f aca="true" t="shared" si="2" ref="C34:E35">C35</f>
        <v>0</v>
      </c>
      <c r="D34" s="39">
        <f t="shared" si="2"/>
        <v>0</v>
      </c>
      <c r="E34" s="11">
        <f t="shared" si="2"/>
        <v>0</v>
      </c>
    </row>
    <row r="35" spans="1:5" ht="31.5" customHeight="1">
      <c r="A35" s="12" t="s">
        <v>34</v>
      </c>
      <c r="B35" s="77" t="s">
        <v>10</v>
      </c>
      <c r="C35" s="2">
        <f t="shared" si="2"/>
        <v>0</v>
      </c>
      <c r="D35" s="33">
        <f t="shared" si="2"/>
        <v>0</v>
      </c>
      <c r="E35" s="2">
        <f t="shared" si="2"/>
        <v>0</v>
      </c>
    </row>
    <row r="36" spans="1:5" ht="33" customHeight="1">
      <c r="A36" s="12" t="s">
        <v>51</v>
      </c>
      <c r="B36" s="77" t="s">
        <v>36</v>
      </c>
      <c r="C36" s="2">
        <v>0</v>
      </c>
      <c r="D36" s="33">
        <v>0</v>
      </c>
      <c r="E36" s="2">
        <v>0</v>
      </c>
    </row>
    <row r="37" spans="1:6" ht="20.25" customHeight="1">
      <c r="A37" s="12" t="s">
        <v>57</v>
      </c>
      <c r="B37" s="77" t="s">
        <v>58</v>
      </c>
      <c r="C37" s="2">
        <v>0</v>
      </c>
      <c r="D37" s="33">
        <v>0</v>
      </c>
      <c r="E37" s="33">
        <v>0</v>
      </c>
      <c r="F37">
        <f>C8+C10*(-1)</f>
        <v>0</v>
      </c>
    </row>
    <row r="38" spans="1:5" ht="18" customHeight="1">
      <c r="A38" s="12" t="s">
        <v>59</v>
      </c>
      <c r="B38" s="77" t="s">
        <v>60</v>
      </c>
      <c r="C38" s="2">
        <v>0</v>
      </c>
      <c r="D38" s="33">
        <v>0</v>
      </c>
      <c r="E38" s="33">
        <v>0</v>
      </c>
    </row>
    <row r="39" spans="1:5" ht="15">
      <c r="A39" s="45"/>
      <c r="B39" s="46"/>
      <c r="C39" s="47"/>
      <c r="D39" s="47"/>
      <c r="E39" s="47"/>
    </row>
    <row r="40" spans="1:10" ht="15">
      <c r="A40" s="83" t="s">
        <v>72</v>
      </c>
      <c r="B40" s="83"/>
      <c r="C40" s="83"/>
      <c r="D40" s="83"/>
      <c r="E40" s="83"/>
      <c r="F40" s="83"/>
      <c r="G40" s="83"/>
      <c r="H40" s="83"/>
      <c r="J40" s="48"/>
    </row>
    <row r="41" spans="1:10" ht="15">
      <c r="A41" s="84" t="s">
        <v>52</v>
      </c>
      <c r="B41" s="84"/>
      <c r="C41" s="84"/>
      <c r="D41" s="84"/>
      <c r="E41" s="84"/>
      <c r="J41" s="48"/>
    </row>
    <row r="42" spans="1:10" ht="15">
      <c r="A42" s="18"/>
      <c r="B42" s="18"/>
      <c r="C42" s="42">
        <v>2019</v>
      </c>
      <c r="D42" s="43"/>
      <c r="E42" s="42">
        <v>2020</v>
      </c>
      <c r="F42" s="43"/>
      <c r="G42" s="42">
        <v>2021</v>
      </c>
      <c r="H42" s="43"/>
      <c r="J42" s="49">
        <v>2022</v>
      </c>
    </row>
    <row r="43" spans="1:10" ht="15">
      <c r="A43" s="19" t="s">
        <v>55</v>
      </c>
      <c r="B43" s="20">
        <v>385500</v>
      </c>
      <c r="C43" s="21">
        <v>43784</v>
      </c>
      <c r="D43" s="59">
        <v>385500</v>
      </c>
      <c r="E43" s="21"/>
      <c r="F43" s="22"/>
      <c r="G43" s="21"/>
      <c r="H43" s="22"/>
      <c r="J43" s="48"/>
    </row>
    <row r="44" spans="1:10" s="40" customFormat="1" ht="15">
      <c r="A44" s="19" t="s">
        <v>56</v>
      </c>
      <c r="B44" s="20">
        <v>900000</v>
      </c>
      <c r="C44" s="21">
        <v>43784</v>
      </c>
      <c r="D44" s="59">
        <v>900000</v>
      </c>
      <c r="E44" s="21"/>
      <c r="F44" s="22"/>
      <c r="G44" s="21"/>
      <c r="H44" s="22"/>
      <c r="I44"/>
      <c r="J44" s="48"/>
    </row>
    <row r="45" spans="1:10" s="40" customFormat="1" ht="15">
      <c r="A45" s="19" t="s">
        <v>63</v>
      </c>
      <c r="B45" s="20">
        <v>152200</v>
      </c>
      <c r="C45" s="21">
        <v>43789</v>
      </c>
      <c r="D45" s="59">
        <v>60900</v>
      </c>
      <c r="E45" s="21">
        <v>44002</v>
      </c>
      <c r="F45" s="59">
        <v>91300</v>
      </c>
      <c r="G45" s="21"/>
      <c r="H45" s="22"/>
      <c r="I45"/>
      <c r="J45" s="48"/>
    </row>
    <row r="46" spans="1:10" s="40" customFormat="1" ht="15">
      <c r="A46" s="19" t="s">
        <v>66</v>
      </c>
      <c r="B46" s="20">
        <v>1990800</v>
      </c>
      <c r="C46" s="21">
        <v>43789</v>
      </c>
      <c r="D46" s="59">
        <v>796300</v>
      </c>
      <c r="E46" s="21">
        <v>44124</v>
      </c>
      <c r="F46" s="59">
        <v>1194500</v>
      </c>
      <c r="G46" s="21"/>
      <c r="H46" s="22"/>
      <c r="I46"/>
      <c r="J46" s="48"/>
    </row>
    <row r="47" spans="1:10" s="40" customFormat="1" ht="15">
      <c r="A47" s="19" t="s">
        <v>73</v>
      </c>
      <c r="B47" s="20">
        <v>2447200</v>
      </c>
      <c r="C47" s="21"/>
      <c r="D47" s="22"/>
      <c r="E47" s="21">
        <v>44124</v>
      </c>
      <c r="F47" s="59">
        <v>978900</v>
      </c>
      <c r="G47" s="21">
        <v>44301</v>
      </c>
      <c r="H47" s="59">
        <v>1468300</v>
      </c>
      <c r="I47"/>
      <c r="J47" s="48"/>
    </row>
    <row r="48" spans="1:10" ht="15">
      <c r="A48" s="23" t="s">
        <v>53</v>
      </c>
      <c r="B48" s="24">
        <f>SUM(B43:B47)</f>
        <v>5875700</v>
      </c>
      <c r="C48" s="24"/>
      <c r="D48" s="24">
        <f>SUM(D43:D47)</f>
        <v>2142700</v>
      </c>
      <c r="E48" s="24"/>
      <c r="F48" s="24">
        <f>SUM(F43:F47)</f>
        <v>2264700</v>
      </c>
      <c r="G48" s="24"/>
      <c r="H48" s="24">
        <f>SUM(H43:H47)</f>
        <v>1468300</v>
      </c>
      <c r="J48" s="48"/>
    </row>
    <row r="49" spans="1:10" ht="15">
      <c r="A49" s="26"/>
      <c r="B49" s="27"/>
      <c r="C49" s="27"/>
      <c r="D49" s="28"/>
      <c r="E49" s="28"/>
      <c r="F49" s="31"/>
      <c r="J49" s="48"/>
    </row>
    <row r="50" spans="1:10" ht="24.75">
      <c r="A50" s="26" t="s">
        <v>77</v>
      </c>
      <c r="B50" s="41">
        <v>2272700</v>
      </c>
      <c r="C50" s="29"/>
      <c r="D50" s="30">
        <v>130000</v>
      </c>
      <c r="E50" s="30"/>
      <c r="F50" s="32">
        <v>780000</v>
      </c>
      <c r="H50">
        <v>780000</v>
      </c>
      <c r="J50" s="66">
        <f>B50-D50-F50-H50</f>
        <v>582700</v>
      </c>
    </row>
    <row r="51" spans="1:10" ht="15">
      <c r="A51" s="26"/>
      <c r="B51" s="27"/>
      <c r="C51" s="27"/>
      <c r="D51" s="28"/>
      <c r="E51" s="28"/>
      <c r="J51" s="48"/>
    </row>
    <row r="52" spans="1:10" ht="15">
      <c r="A52" s="85" t="s">
        <v>54</v>
      </c>
      <c r="B52" s="85"/>
      <c r="C52" s="85"/>
      <c r="D52" s="85"/>
      <c r="E52" s="85"/>
      <c r="J52" s="48"/>
    </row>
    <row r="53" spans="1:10" ht="15">
      <c r="A53" s="18"/>
      <c r="B53" s="18"/>
      <c r="C53" s="42">
        <v>2019</v>
      </c>
      <c r="D53" s="43"/>
      <c r="E53" s="42">
        <v>2020</v>
      </c>
      <c r="F53" s="43"/>
      <c r="G53" s="42">
        <v>2021</v>
      </c>
      <c r="H53" s="43"/>
      <c r="J53" s="48"/>
    </row>
    <row r="54" spans="1:10" ht="15">
      <c r="A54" s="19" t="s">
        <v>55</v>
      </c>
      <c r="B54" s="20">
        <v>385500</v>
      </c>
      <c r="C54" s="44" t="s">
        <v>64</v>
      </c>
      <c r="D54" s="59">
        <v>336.92</v>
      </c>
      <c r="E54" s="21"/>
      <c r="F54" s="22"/>
      <c r="G54" s="21"/>
      <c r="H54" s="22"/>
      <c r="J54" s="48"/>
    </row>
    <row r="55" spans="1:10" ht="15">
      <c r="A55" s="19" t="s">
        <v>56</v>
      </c>
      <c r="B55" s="20">
        <v>900000</v>
      </c>
      <c r="C55" s="44" t="s">
        <v>64</v>
      </c>
      <c r="D55" s="59">
        <v>786.58</v>
      </c>
      <c r="E55" s="21"/>
      <c r="F55" s="22"/>
      <c r="G55" s="21"/>
      <c r="H55" s="22"/>
      <c r="J55" s="48"/>
    </row>
    <row r="56" spans="1:10" ht="15">
      <c r="A56" s="19" t="s">
        <v>63</v>
      </c>
      <c r="B56" s="20">
        <v>152200</v>
      </c>
      <c r="C56" s="44" t="s">
        <v>61</v>
      </c>
      <c r="D56" s="59">
        <v>145.36</v>
      </c>
      <c r="E56" s="44" t="s">
        <v>62</v>
      </c>
      <c r="F56" s="59">
        <v>42.91</v>
      </c>
      <c r="G56" s="44"/>
      <c r="H56" s="22"/>
      <c r="J56" s="48"/>
    </row>
    <row r="57" spans="1:12" ht="15">
      <c r="A57" s="19" t="s">
        <v>66</v>
      </c>
      <c r="B57" s="20">
        <v>1990800</v>
      </c>
      <c r="C57" s="44" t="s">
        <v>61</v>
      </c>
      <c r="D57" s="59">
        <v>1901.35</v>
      </c>
      <c r="E57" s="44" t="s">
        <v>65</v>
      </c>
      <c r="F57" s="59">
        <v>561.35</v>
      </c>
      <c r="G57" s="44"/>
      <c r="H57" s="22"/>
      <c r="J57" s="48">
        <v>2142700</v>
      </c>
      <c r="K57" s="48">
        <v>2264700</v>
      </c>
      <c r="L57">
        <v>1468300</v>
      </c>
    </row>
    <row r="58" spans="1:12" ht="15">
      <c r="A58" s="19" t="s">
        <v>73</v>
      </c>
      <c r="B58" s="20">
        <v>2447200</v>
      </c>
      <c r="C58" s="44" t="s">
        <v>61</v>
      </c>
      <c r="D58" s="59">
        <v>2447.2</v>
      </c>
      <c r="E58" s="44" t="s">
        <v>70</v>
      </c>
      <c r="F58" s="59">
        <v>2254.63</v>
      </c>
      <c r="G58" s="44" t="s">
        <v>71</v>
      </c>
      <c r="H58" s="59">
        <v>422.39</v>
      </c>
      <c r="I58" s="67"/>
      <c r="J58" s="48">
        <v>130000</v>
      </c>
      <c r="K58" s="48">
        <v>1515000</v>
      </c>
      <c r="L58">
        <v>3210000</v>
      </c>
    </row>
    <row r="59" spans="1:12" ht="15">
      <c r="A59" s="23" t="s">
        <v>53</v>
      </c>
      <c r="B59" s="24">
        <f>SUM(B54:B58)</f>
        <v>5875700</v>
      </c>
      <c r="C59" s="25"/>
      <c r="D59" s="24">
        <f>SUM(D54:D58)</f>
        <v>5617.41</v>
      </c>
      <c r="E59" s="25"/>
      <c r="F59" s="24">
        <f>SUM(F54:F58)</f>
        <v>2858.8900000000003</v>
      </c>
      <c r="G59" s="25"/>
      <c r="H59" s="24">
        <f>SUM(H54:H58)</f>
        <v>422.39</v>
      </c>
      <c r="J59" s="48">
        <f>SUM(J57:J58)</f>
        <v>2272700</v>
      </c>
      <c r="K59" s="48">
        <f>SUM(K57:K58)</f>
        <v>3779700</v>
      </c>
      <c r="L59" s="48">
        <f>SUM(L57:L58)</f>
        <v>4678300</v>
      </c>
    </row>
    <row r="60" spans="1:12" ht="15">
      <c r="A60" s="48"/>
      <c r="B60" s="48"/>
      <c r="C60" s="48"/>
      <c r="D60" s="50"/>
      <c r="E60" s="51"/>
      <c r="F60" s="51"/>
      <c r="G60" s="51"/>
      <c r="J60" s="48">
        <v>36</v>
      </c>
      <c r="K60" s="48">
        <v>36</v>
      </c>
      <c r="L60">
        <v>36</v>
      </c>
    </row>
    <row r="61" spans="1:12" ht="15">
      <c r="A61" s="26"/>
      <c r="B61" s="29"/>
      <c r="C61" s="29"/>
      <c r="D61" s="30"/>
      <c r="E61" s="30"/>
      <c r="F61" s="30"/>
      <c r="G61" s="30"/>
      <c r="H61" s="30"/>
      <c r="I61" s="48"/>
      <c r="J61" s="48">
        <f>J59/J60</f>
        <v>63130.555555555555</v>
      </c>
      <c r="K61" s="48">
        <f>K59/K60</f>
        <v>104991.66666666667</v>
      </c>
      <c r="L61" s="48">
        <f>L59/L60</f>
        <v>129952.77777777778</v>
      </c>
    </row>
    <row r="62" spans="1:10" ht="15">
      <c r="A62" s="26" t="s">
        <v>53</v>
      </c>
      <c r="B62" s="29"/>
      <c r="C62" s="29"/>
      <c r="D62" s="30"/>
      <c r="E62" s="30"/>
      <c r="F62" s="30"/>
      <c r="G62" s="30"/>
      <c r="H62" s="30"/>
      <c r="J62" s="48"/>
    </row>
    <row r="63" spans="2:15" ht="48.75">
      <c r="B63" s="52">
        <v>2272700</v>
      </c>
      <c r="C63" s="53" t="s">
        <v>75</v>
      </c>
      <c r="D63" s="54" t="s">
        <v>76</v>
      </c>
      <c r="E63" s="55"/>
      <c r="G63" s="52">
        <v>3779700</v>
      </c>
      <c r="H63" s="53" t="s">
        <v>79</v>
      </c>
      <c r="I63" s="54" t="s">
        <v>78</v>
      </c>
      <c r="J63" s="48"/>
      <c r="L63" s="52">
        <v>4678300</v>
      </c>
      <c r="M63" s="53" t="s">
        <v>81</v>
      </c>
      <c r="N63" s="54" t="s">
        <v>80</v>
      </c>
      <c r="O63" s="48"/>
    </row>
    <row r="64" spans="1:15" ht="15">
      <c r="A64">
        <v>2019</v>
      </c>
      <c r="B64" s="60" t="s">
        <v>74</v>
      </c>
      <c r="C64" s="61">
        <f>(B63*8.25*30/36500)</f>
        <v>15410.77397260274</v>
      </c>
      <c r="D64" s="61">
        <v>65000</v>
      </c>
      <c r="E64" s="55"/>
      <c r="F64">
        <v>2020</v>
      </c>
      <c r="G64" s="68">
        <v>6</v>
      </c>
      <c r="H64" s="69">
        <f>(G63*8.25*30/36500)</f>
        <v>25629.472602739726</v>
      </c>
      <c r="I64" s="69">
        <v>105000</v>
      </c>
      <c r="J64" s="48"/>
      <c r="K64">
        <v>2021</v>
      </c>
      <c r="L64" s="64">
        <v>4</v>
      </c>
      <c r="M64" s="54">
        <f>(L63*8.25*30/36500)</f>
        <v>31722.719178082192</v>
      </c>
      <c r="N64" s="54">
        <v>130000</v>
      </c>
      <c r="O64" s="48"/>
    </row>
    <row r="65" spans="2:15" ht="15">
      <c r="B65" s="62">
        <v>12</v>
      </c>
      <c r="C65" s="61">
        <f>(B63-D64)*8.25*31/36500</f>
        <v>15469.021232876712</v>
      </c>
      <c r="D65" s="61">
        <v>65000</v>
      </c>
      <c r="E65" s="55">
        <v>130000</v>
      </c>
      <c r="G65" s="68">
        <v>7</v>
      </c>
      <c r="H65" s="69">
        <f>(G63-I64)*8.25*31/36500</f>
        <v>25748.06917808219</v>
      </c>
      <c r="I65" s="69">
        <v>105000</v>
      </c>
      <c r="J65" s="48"/>
      <c r="L65" s="64">
        <v>5</v>
      </c>
      <c r="M65" s="54">
        <f>(L63-N64)*8.25*31/36500</f>
        <v>31869.252739726027</v>
      </c>
      <c r="N65" s="54">
        <v>130000</v>
      </c>
      <c r="O65" s="48"/>
    </row>
    <row r="66" spans="1:15" ht="15">
      <c r="A66">
        <v>2020</v>
      </c>
      <c r="B66" s="75" t="s">
        <v>12</v>
      </c>
      <c r="C66" s="69">
        <f>(B63-(D65*2))*8.25*31/36500</f>
        <v>15013.576027397261</v>
      </c>
      <c r="D66" s="69">
        <v>65000</v>
      </c>
      <c r="E66" s="55"/>
      <c r="G66" s="68">
        <v>8</v>
      </c>
      <c r="H66" s="69">
        <f>(G63-(I65*2))*8.25*31/36500</f>
        <v>25012.35</v>
      </c>
      <c r="I66" s="69">
        <v>105000</v>
      </c>
      <c r="J66" s="48"/>
      <c r="L66" s="64">
        <v>6</v>
      </c>
      <c r="M66" s="54">
        <f>(L63-(N65*2))*8.25*30/36500</f>
        <v>29959.705479452055</v>
      </c>
      <c r="N66" s="54">
        <v>130000</v>
      </c>
      <c r="O66" s="48"/>
    </row>
    <row r="67" spans="2:15" ht="15">
      <c r="B67" s="68">
        <v>2</v>
      </c>
      <c r="C67" s="69">
        <f>(B63-(D66*3))*8.25*29/36500</f>
        <v>13618.896575342465</v>
      </c>
      <c r="D67" s="69">
        <v>65000</v>
      </c>
      <c r="E67" s="55"/>
      <c r="G67" s="68">
        <v>9</v>
      </c>
      <c r="H67" s="69">
        <f>(G63-(I66*3))*8.25*30/36500</f>
        <v>23493.513698630137</v>
      </c>
      <c r="I67" s="69">
        <v>105000</v>
      </c>
      <c r="J67" s="48"/>
      <c r="L67" s="64">
        <v>7</v>
      </c>
      <c r="M67" s="54">
        <f>(L63-(N66*3))*8.25*31/36500</f>
        <v>30047.47191780822</v>
      </c>
      <c r="N67" s="54">
        <v>130000</v>
      </c>
      <c r="O67" s="48"/>
    </row>
    <row r="68" spans="2:15" ht="15">
      <c r="B68" s="68">
        <v>3</v>
      </c>
      <c r="C68" s="69">
        <f>(B63-(D67*4))*8.25*31/36500</f>
        <v>14102.685616438355</v>
      </c>
      <c r="D68" s="69">
        <v>65000</v>
      </c>
      <c r="E68" s="55"/>
      <c r="G68" s="68">
        <v>10</v>
      </c>
      <c r="H68" s="69">
        <f>(G63-(I67*4))*8.25*31/36500</f>
        <v>23540.911643835618</v>
      </c>
      <c r="I68" s="69">
        <v>105000</v>
      </c>
      <c r="J68" s="48"/>
      <c r="L68" s="64">
        <v>8</v>
      </c>
      <c r="M68" s="54">
        <f>(L63-(N67*4))*8.25*31/36500</f>
        <v>29136.581506849314</v>
      </c>
      <c r="N68" s="54">
        <v>130000</v>
      </c>
      <c r="O68" s="48"/>
    </row>
    <row r="69" spans="2:15" ht="15">
      <c r="B69" s="68">
        <v>4</v>
      </c>
      <c r="C69" s="69">
        <f>(B63-(D68*5))*8.25*30/36500</f>
        <v>13207.006849315068</v>
      </c>
      <c r="D69" s="69">
        <v>65000</v>
      </c>
      <c r="E69" s="55"/>
      <c r="G69" s="68">
        <v>11</v>
      </c>
      <c r="H69" s="69">
        <f>(G63-(I68*5))*8.25*30/36500</f>
        <v>22069.54109589041</v>
      </c>
      <c r="I69" s="69">
        <v>105000</v>
      </c>
      <c r="J69" s="48"/>
      <c r="L69" s="64">
        <v>9</v>
      </c>
      <c r="M69" s="54">
        <f>(L63-(N68*5))*8.25*30/36500</f>
        <v>27315.18493150685</v>
      </c>
      <c r="N69" s="54">
        <v>130000</v>
      </c>
      <c r="O69" s="48"/>
    </row>
    <row r="70" spans="2:15" ht="15">
      <c r="B70" s="68">
        <v>5</v>
      </c>
      <c r="C70" s="69">
        <f>(B63-(D69*6))*8.25*31/36500</f>
        <v>13191.795205479451</v>
      </c>
      <c r="D70" s="69">
        <v>65000</v>
      </c>
      <c r="E70" s="55"/>
      <c r="G70" s="68">
        <v>12</v>
      </c>
      <c r="H70" s="69">
        <f>(G63-(I69*6))*8.25*31/36500</f>
        <v>22069.473287671233</v>
      </c>
      <c r="I70" s="69">
        <v>105000</v>
      </c>
      <c r="J70" s="48">
        <v>735000</v>
      </c>
      <c r="L70" s="64">
        <v>10</v>
      </c>
      <c r="M70" s="54">
        <f>(L63-(N69*6))*8.25*31/36500</f>
        <v>27314.800684931506</v>
      </c>
      <c r="N70" s="54">
        <v>130000</v>
      </c>
      <c r="O70" s="48"/>
    </row>
    <row r="71" spans="2:15" ht="15">
      <c r="B71" s="68">
        <v>6</v>
      </c>
      <c r="C71" s="69">
        <f>(B63-(D70*7))*8.25*30/36500</f>
        <v>12325.5</v>
      </c>
      <c r="D71" s="69">
        <v>65000</v>
      </c>
      <c r="E71" s="55"/>
      <c r="F71">
        <v>2021</v>
      </c>
      <c r="G71" s="63" t="s">
        <v>12</v>
      </c>
      <c r="H71" s="54">
        <f>(G63-(I70*7))*8.25*31/36500</f>
        <v>21333.75410958904</v>
      </c>
      <c r="I71" s="54">
        <v>105000</v>
      </c>
      <c r="J71" s="48"/>
      <c r="L71" s="63" t="s">
        <v>74</v>
      </c>
      <c r="M71" s="54">
        <f>(L63-(N70*7))*8.25*30/36500</f>
        <v>25552.171232876713</v>
      </c>
      <c r="N71" s="54">
        <v>130000</v>
      </c>
      <c r="O71" s="48"/>
    </row>
    <row r="72" spans="2:15" ht="15">
      <c r="B72" s="68">
        <v>7</v>
      </c>
      <c r="C72" s="69">
        <f>(B63-(D71*8))*8.25*31/36500</f>
        <v>12280.904794520548</v>
      </c>
      <c r="D72" s="69">
        <v>65000</v>
      </c>
      <c r="E72" s="55"/>
      <c r="G72" s="64">
        <v>2</v>
      </c>
      <c r="H72" s="54">
        <f>(G63-(I71*8))*8.25*28/36500</f>
        <v>18604.67671232877</v>
      </c>
      <c r="I72" s="54">
        <v>105000</v>
      </c>
      <c r="J72" s="48"/>
      <c r="L72" s="64">
        <v>12</v>
      </c>
      <c r="M72" s="54">
        <f>(L63-(N71*8))*8.25*31/36500</f>
        <v>25493.0198630137</v>
      </c>
      <c r="N72" s="54">
        <v>130000</v>
      </c>
      <c r="O72" s="48">
        <v>1170000</v>
      </c>
    </row>
    <row r="73" spans="2:15" ht="15">
      <c r="B73" s="68">
        <v>8</v>
      </c>
      <c r="C73" s="69">
        <f>(B63-(D72*9))*8.25*31/36500</f>
        <v>11825.459589041096</v>
      </c>
      <c r="D73" s="69">
        <v>65000</v>
      </c>
      <c r="E73" s="55"/>
      <c r="G73" s="64">
        <v>3</v>
      </c>
      <c r="H73" s="54">
        <f>(G63-(I72*9))*8.25*31/36500</f>
        <v>19862.315753424657</v>
      </c>
      <c r="I73" s="54">
        <v>105000</v>
      </c>
      <c r="J73" s="48"/>
      <c r="K73">
        <v>2022</v>
      </c>
      <c r="L73" s="58">
        <v>1</v>
      </c>
      <c r="M73" s="57">
        <f>(L63-(N72*9))*8.25*31/36500</f>
        <v>24582.129452054796</v>
      </c>
      <c r="N73" s="57">
        <v>130000</v>
      </c>
      <c r="O73" s="48"/>
    </row>
    <row r="74" spans="2:15" ht="15">
      <c r="B74" s="68">
        <v>9</v>
      </c>
      <c r="C74" s="69">
        <f>(B63-(D73*10))*8.25*30/36500</f>
        <v>11003.239726027397</v>
      </c>
      <c r="D74" s="69">
        <v>65000</v>
      </c>
      <c r="E74" s="55"/>
      <c r="G74" s="64">
        <v>4</v>
      </c>
      <c r="H74" s="54">
        <f>(G63-(I73*10))*8.25*30/36500</f>
        <v>18509.609589041094</v>
      </c>
      <c r="I74" s="54">
        <v>105000</v>
      </c>
      <c r="J74" s="48"/>
      <c r="L74" s="58">
        <v>2</v>
      </c>
      <c r="M74" s="57">
        <f>(L63-(N73*10))*8.25*28/36500</f>
        <v>21380.47397260274</v>
      </c>
      <c r="N74" s="57">
        <v>130000</v>
      </c>
      <c r="O74" s="48"/>
    </row>
    <row r="75" spans="2:15" ht="15">
      <c r="B75" s="68">
        <v>10</v>
      </c>
      <c r="C75" s="69">
        <f>(B63-(D74*11))*8.25*31/36500</f>
        <v>10914.569178082193</v>
      </c>
      <c r="D75" s="69">
        <v>65000</v>
      </c>
      <c r="E75" s="55"/>
      <c r="G75" s="64">
        <v>5</v>
      </c>
      <c r="H75" s="54">
        <f>(G63-(I74*11))*8.25*31/36500</f>
        <v>18390.877397260276</v>
      </c>
      <c r="I75" s="54">
        <v>105000</v>
      </c>
      <c r="J75" s="48"/>
      <c r="L75" s="58">
        <v>3</v>
      </c>
      <c r="M75" s="57">
        <f>(L63-(N74*11))*8.25*31/36500</f>
        <v>22760.348630136985</v>
      </c>
      <c r="N75" s="57">
        <v>130000</v>
      </c>
      <c r="O75" s="48"/>
    </row>
    <row r="76" spans="2:15" ht="15">
      <c r="B76" s="68">
        <v>11</v>
      </c>
      <c r="C76" s="69">
        <f>(B63-(D75*12))*8.25*30/36500</f>
        <v>10121.732876712329</v>
      </c>
      <c r="D76" s="69">
        <v>65000</v>
      </c>
      <c r="E76" s="55"/>
      <c r="G76" s="64">
        <v>6</v>
      </c>
      <c r="H76" s="54">
        <f>(G63-(I75*12))*8.25*30/36500</f>
        <v>17085.63698630137</v>
      </c>
      <c r="I76" s="54">
        <v>105000</v>
      </c>
      <c r="J76" s="48"/>
      <c r="L76" s="58">
        <v>4</v>
      </c>
      <c r="M76" s="57">
        <f>(L63-(N75*12))*8.25*30/36500</f>
        <v>21144.63698630137</v>
      </c>
      <c r="N76" s="57">
        <v>130000</v>
      </c>
      <c r="O76" s="48"/>
    </row>
    <row r="77" spans="2:15" ht="15">
      <c r="B77" s="68">
        <v>12</v>
      </c>
      <c r="C77" s="69">
        <f>(B63-(D76*13))*8.25*31/36500</f>
        <v>10003.678767123287</v>
      </c>
      <c r="D77" s="69">
        <v>65000</v>
      </c>
      <c r="E77" s="55">
        <v>780000</v>
      </c>
      <c r="G77" s="64">
        <v>7</v>
      </c>
      <c r="H77" s="54">
        <f>(G63-(I76*13))*8.25*31/36500</f>
        <v>16919.43904109589</v>
      </c>
      <c r="I77" s="54">
        <v>105000</v>
      </c>
      <c r="J77" s="48"/>
      <c r="L77" s="58">
        <v>5</v>
      </c>
      <c r="M77" s="57">
        <f>(L63-(N76*13))*8.25*31/36500</f>
        <v>20938.567808219177</v>
      </c>
      <c r="N77" s="57">
        <v>130000</v>
      </c>
      <c r="O77" s="48"/>
    </row>
    <row r="78" spans="1:15" ht="15">
      <c r="A78">
        <v>2021</v>
      </c>
      <c r="B78" s="63" t="s">
        <v>12</v>
      </c>
      <c r="C78" s="54">
        <f>(B63-(D77*14))*8.25*31/36500</f>
        <v>9548.233561643836</v>
      </c>
      <c r="D78" s="54">
        <v>65000</v>
      </c>
      <c r="E78" s="55"/>
      <c r="G78" s="64">
        <v>8</v>
      </c>
      <c r="H78" s="54">
        <f>(G63-(I77*14))*8.25*31/36500</f>
        <v>16183.719863013699</v>
      </c>
      <c r="I78" s="54">
        <v>105000</v>
      </c>
      <c r="J78" s="48"/>
      <c r="L78" s="58">
        <v>6</v>
      </c>
      <c r="M78" s="57">
        <f>(L63-(N77*14))*8.25*30/36500</f>
        <v>19381.62328767123</v>
      </c>
      <c r="N78" s="57">
        <v>130000</v>
      </c>
      <c r="O78" s="48"/>
    </row>
    <row r="79" spans="2:15" ht="15">
      <c r="B79" s="64">
        <v>2</v>
      </c>
      <c r="C79" s="54">
        <f>(B63-(D78*15))*8.25*28/36500</f>
        <v>8212.841095890411</v>
      </c>
      <c r="D79" s="54">
        <v>65000</v>
      </c>
      <c r="E79" s="55"/>
      <c r="G79" s="64">
        <v>9</v>
      </c>
      <c r="H79" s="54">
        <f>(G63-(I78*15))*8.25*30/36500</f>
        <v>14949.67808219178</v>
      </c>
      <c r="I79" s="54">
        <v>105000</v>
      </c>
      <c r="J79" s="48"/>
      <c r="L79" s="58">
        <v>7</v>
      </c>
      <c r="M79" s="57">
        <f>(L63-(N78*15))*8.25*31/36500</f>
        <v>19116.78698630137</v>
      </c>
      <c r="N79" s="57">
        <v>130000</v>
      </c>
      <c r="O79" s="48"/>
    </row>
    <row r="80" spans="2:15" ht="15">
      <c r="B80" s="64">
        <v>3</v>
      </c>
      <c r="C80" s="54">
        <f>(B63-(D79*16))*8.25*31/36500</f>
        <v>8637.343150684932</v>
      </c>
      <c r="D80" s="54">
        <v>65000</v>
      </c>
      <c r="E80" s="55"/>
      <c r="G80" s="64">
        <v>10</v>
      </c>
      <c r="H80" s="54">
        <f>(G63-(I79*16))*8.25*31/36500</f>
        <v>14712.281506849315</v>
      </c>
      <c r="I80" s="54">
        <v>105000</v>
      </c>
      <c r="J80" s="48"/>
      <c r="L80" s="58">
        <v>8</v>
      </c>
      <c r="M80" s="57">
        <f>(L63-(N79*16))*8.25*31/36500</f>
        <v>18205.896575342467</v>
      </c>
      <c r="N80" s="57">
        <v>130000</v>
      </c>
      <c r="O80" s="48"/>
    </row>
    <row r="81" spans="2:15" ht="15">
      <c r="B81" s="64">
        <v>4</v>
      </c>
      <c r="C81" s="54">
        <f>(B63-(D80*17))*8.25*30/36500</f>
        <v>7917.965753424657</v>
      </c>
      <c r="D81" s="54">
        <v>65000</v>
      </c>
      <c r="E81" s="55"/>
      <c r="G81" s="64">
        <v>11</v>
      </c>
      <c r="H81" s="54">
        <f>(G63-(I80*17))*8.25*30/36500</f>
        <v>13525.705479452055</v>
      </c>
      <c r="I81" s="54">
        <v>105000</v>
      </c>
      <c r="J81" s="48"/>
      <c r="L81" s="58">
        <v>9</v>
      </c>
      <c r="M81" s="57">
        <f>(L63-(N80*17))*8.25*30/36500</f>
        <v>16737.102739726026</v>
      </c>
      <c r="N81" s="57">
        <v>130000</v>
      </c>
      <c r="O81" s="48"/>
    </row>
    <row r="82" spans="2:15" ht="15">
      <c r="B82" s="64">
        <v>5</v>
      </c>
      <c r="C82" s="54">
        <f>(B63-(D81*18))*8.25*31/36500</f>
        <v>7726.452739726027</v>
      </c>
      <c r="D82" s="54">
        <v>65000</v>
      </c>
      <c r="E82" s="55"/>
      <c r="G82" s="64">
        <v>12</v>
      </c>
      <c r="H82" s="54">
        <f>(G63-(I81*18))*8.25*31/36500</f>
        <v>13240.843150684932</v>
      </c>
      <c r="I82" s="54">
        <v>105000</v>
      </c>
      <c r="J82" s="48">
        <v>1260000</v>
      </c>
      <c r="L82" s="58">
        <v>10</v>
      </c>
      <c r="M82" s="57">
        <f>(L63-(N81*18))*8.25*31/36500</f>
        <v>16384.115753424656</v>
      </c>
      <c r="N82" s="57">
        <v>130000</v>
      </c>
      <c r="O82" s="48"/>
    </row>
    <row r="83" spans="2:15" ht="15">
      <c r="B83" s="64">
        <v>6</v>
      </c>
      <c r="C83" s="54">
        <f>(B63-(D82*19))*8.25*30/36500</f>
        <v>7036.458904109589</v>
      </c>
      <c r="D83" s="54">
        <v>65000</v>
      </c>
      <c r="E83" s="55"/>
      <c r="F83">
        <v>2022</v>
      </c>
      <c r="G83" s="56" t="s">
        <v>12</v>
      </c>
      <c r="H83" s="57">
        <f>(G63-(I82*19))*8.25*31/36500</f>
        <v>12505.12397260274</v>
      </c>
      <c r="I83" s="57">
        <v>105000</v>
      </c>
      <c r="J83" s="48"/>
      <c r="L83" s="56" t="s">
        <v>74</v>
      </c>
      <c r="M83" s="57">
        <f>(L63-(N82*19))*8.25*30/36500</f>
        <v>14974.089041095891</v>
      </c>
      <c r="N83" s="57">
        <v>130000</v>
      </c>
      <c r="O83" s="48"/>
    </row>
    <row r="84" spans="2:15" ht="15">
      <c r="B84" s="64">
        <v>7</v>
      </c>
      <c r="C84" s="54">
        <f>(B63-(D83*20))*8.25*31/36500</f>
        <v>6815.562328767123</v>
      </c>
      <c r="D84" s="54">
        <v>65000</v>
      </c>
      <c r="E84" s="55"/>
      <c r="G84" s="58">
        <v>2</v>
      </c>
      <c r="H84" s="57">
        <f>(G63-(I83*20))*8.25*28/36500</f>
        <v>10630.4301369863</v>
      </c>
      <c r="I84" s="57">
        <v>105000</v>
      </c>
      <c r="J84" s="48"/>
      <c r="L84" s="58">
        <v>12</v>
      </c>
      <c r="M84" s="57">
        <f>(L63-(N83*20))*8.25*31/36500</f>
        <v>14562.33493150685</v>
      </c>
      <c r="N84" s="57">
        <v>130000</v>
      </c>
      <c r="O84" s="48"/>
    </row>
    <row r="85" spans="2:15" ht="15">
      <c r="B85" s="64">
        <v>8</v>
      </c>
      <c r="C85" s="54">
        <f>(B63-(D84*21))*8.25*31/36500</f>
        <v>6360.117123287671</v>
      </c>
      <c r="D85" s="54">
        <v>65000</v>
      </c>
      <c r="E85" s="55"/>
      <c r="G85" s="58">
        <v>3</v>
      </c>
      <c r="H85" s="57">
        <f>(G63-(I84*21))*8.25*31/36500</f>
        <v>11033.685616438355</v>
      </c>
      <c r="I85" s="57">
        <v>105000</v>
      </c>
      <c r="J85" s="48"/>
      <c r="K85">
        <v>2023</v>
      </c>
      <c r="L85" s="72">
        <v>1</v>
      </c>
      <c r="M85" s="73">
        <f>(L63-(N84*21))*8.25*31/36500</f>
        <v>13651.444520547946</v>
      </c>
      <c r="N85" s="73">
        <v>130000</v>
      </c>
      <c r="O85" s="48"/>
    </row>
    <row r="86" spans="2:15" ht="15">
      <c r="B86" s="64">
        <v>9</v>
      </c>
      <c r="C86" s="54">
        <f>(B63-(D85*22))*8.25*30/36500</f>
        <v>5714.198630136986</v>
      </c>
      <c r="D86" s="54">
        <v>65000</v>
      </c>
      <c r="E86" s="55"/>
      <c r="G86" s="58">
        <v>4</v>
      </c>
      <c r="H86" s="57">
        <f>(G63-(I85*22))*8.25*30/36500</f>
        <v>9965.77397260274</v>
      </c>
      <c r="I86" s="57">
        <v>105000</v>
      </c>
      <c r="J86" s="48"/>
      <c r="L86" s="72">
        <v>2</v>
      </c>
      <c r="M86" s="73">
        <f>(L63-(N85*22))*8.25*28/36500</f>
        <v>11507.597260273973</v>
      </c>
      <c r="N86" s="73">
        <v>130000</v>
      </c>
      <c r="O86" s="48"/>
    </row>
    <row r="87" spans="2:15" ht="15">
      <c r="B87" s="64">
        <v>10</v>
      </c>
      <c r="C87" s="54">
        <f>(B63-(D86*23))*8.25*31/36500</f>
        <v>5449.2267123287675</v>
      </c>
      <c r="D87" s="54">
        <v>65000</v>
      </c>
      <c r="E87" s="55"/>
      <c r="G87" s="58">
        <v>5</v>
      </c>
      <c r="H87" s="57">
        <f>(G63-(I86*23))*8.25*31/36500</f>
        <v>9562.247260273973</v>
      </c>
      <c r="I87" s="57">
        <v>105000</v>
      </c>
      <c r="J87" s="48"/>
      <c r="L87" s="72">
        <v>3</v>
      </c>
      <c r="M87" s="73">
        <f>(L63-(N86*23))*8.25*31/36500</f>
        <v>11829.663698630136</v>
      </c>
      <c r="N87" s="73">
        <v>130000</v>
      </c>
      <c r="O87" s="48"/>
    </row>
    <row r="88" spans="2:15" ht="15">
      <c r="B88" s="64">
        <v>11</v>
      </c>
      <c r="C88" s="54">
        <f>(B63-(D87*24))*8.25*30/36500</f>
        <v>4832.691780821918</v>
      </c>
      <c r="D88" s="54">
        <v>65000</v>
      </c>
      <c r="E88" s="55"/>
      <c r="G88" s="58">
        <v>6</v>
      </c>
      <c r="H88" s="57">
        <f>(G63-(I87*24))*8.25*30/36500</f>
        <v>8541.801369863013</v>
      </c>
      <c r="I88" s="57">
        <v>105000</v>
      </c>
      <c r="J88" s="48"/>
      <c r="L88" s="72">
        <v>4</v>
      </c>
      <c r="M88" s="73">
        <f>(L63-(N87*24))*8.25*30/36500</f>
        <v>10566.554794520547</v>
      </c>
      <c r="N88" s="73">
        <v>130000</v>
      </c>
      <c r="O88" s="48"/>
    </row>
    <row r="89" spans="2:15" ht="15">
      <c r="B89" s="64">
        <v>12</v>
      </c>
      <c r="C89" s="54">
        <f>(B63-(D88*25))*8.25*31/36500</f>
        <v>4538.336301369863</v>
      </c>
      <c r="D89" s="54">
        <v>65000</v>
      </c>
      <c r="E89" s="55">
        <v>780000</v>
      </c>
      <c r="G89" s="58">
        <v>7</v>
      </c>
      <c r="H89" s="57">
        <f>(G63-(I88*25))*8.25*31/36500</f>
        <v>8090.808904109589</v>
      </c>
      <c r="I89" s="57">
        <v>105000</v>
      </c>
      <c r="J89" s="48"/>
      <c r="L89" s="72">
        <v>5</v>
      </c>
      <c r="M89" s="73">
        <f>(L63-(N88*25))*8.25*31/36500</f>
        <v>10007.882876712329</v>
      </c>
      <c r="N89" s="73">
        <v>130000</v>
      </c>
      <c r="O89" s="48"/>
    </row>
    <row r="90" spans="1:15" ht="15">
      <c r="A90">
        <v>2022</v>
      </c>
      <c r="B90" s="56" t="s">
        <v>12</v>
      </c>
      <c r="C90" s="57">
        <f>(B63-(D89*26))*8.25*31/36500</f>
        <v>4082.891095890411</v>
      </c>
      <c r="D90" s="57">
        <v>65000</v>
      </c>
      <c r="E90" s="55"/>
      <c r="G90" s="58">
        <v>8</v>
      </c>
      <c r="H90" s="57">
        <f>(G63-(I89*26))*8.25*31/36500</f>
        <v>7355.089726027397</v>
      </c>
      <c r="I90" s="57">
        <v>105000</v>
      </c>
      <c r="J90" s="48"/>
      <c r="L90" s="72">
        <v>6</v>
      </c>
      <c r="M90" s="73">
        <f>(L63-(N89*26))*8.25*30/36500</f>
        <v>8803.54109589041</v>
      </c>
      <c r="N90" s="73">
        <v>130000</v>
      </c>
      <c r="O90" s="48"/>
    </row>
    <row r="91" spans="2:15" ht="15">
      <c r="B91" s="58">
        <v>2</v>
      </c>
      <c r="C91" s="57">
        <f>(B63-(D90*27))*8.25*28/36500</f>
        <v>3276.4027397260274</v>
      </c>
      <c r="D91" s="57">
        <v>65000</v>
      </c>
      <c r="E91" s="55"/>
      <c r="G91" s="58">
        <v>9</v>
      </c>
      <c r="H91" s="57">
        <f>(G63-(I90*27))*8.25*30/36500</f>
        <v>6405.842465753424</v>
      </c>
      <c r="I91" s="57">
        <v>105000</v>
      </c>
      <c r="J91" s="48"/>
      <c r="L91" s="72">
        <v>7</v>
      </c>
      <c r="M91" s="73">
        <f>(L63-(N90*27))*8.25*31/36500</f>
        <v>8186.102054794521</v>
      </c>
      <c r="N91" s="73">
        <v>130000</v>
      </c>
      <c r="O91" s="48"/>
    </row>
    <row r="92" spans="2:15" ht="15">
      <c r="B92" s="58">
        <v>3</v>
      </c>
      <c r="C92" s="57">
        <f>(B63-(D91*28))*8.25*31/36500</f>
        <v>3172.000684931507</v>
      </c>
      <c r="D92" s="57">
        <v>65000</v>
      </c>
      <c r="E92" s="55"/>
      <c r="G92" s="58">
        <v>10</v>
      </c>
      <c r="H92" s="57">
        <f>(G63-(I91*28))*8.25*31/36500</f>
        <v>5883.651369863013</v>
      </c>
      <c r="I92" s="57">
        <v>105000</v>
      </c>
      <c r="J92" s="48"/>
      <c r="L92" s="72">
        <v>8</v>
      </c>
      <c r="M92" s="73">
        <f>(L63-(N91*28))*8.25*31/36500</f>
        <v>7275.211643835616</v>
      </c>
      <c r="N92" s="73">
        <v>130000</v>
      </c>
      <c r="O92" s="48"/>
    </row>
    <row r="93" spans="2:15" ht="15">
      <c r="B93" s="58">
        <v>4</v>
      </c>
      <c r="C93" s="57">
        <f>(B63-(D92*29))*8.25*30/36500</f>
        <v>2628.9246575342468</v>
      </c>
      <c r="D93" s="57">
        <v>65000</v>
      </c>
      <c r="E93" s="55"/>
      <c r="G93" s="58">
        <v>11</v>
      </c>
      <c r="H93" s="57">
        <f>(G63-(I92*29))*8.25*30/36500</f>
        <v>4981.869863013699</v>
      </c>
      <c r="I93" s="57">
        <v>105000</v>
      </c>
      <c r="J93" s="48"/>
      <c r="L93" s="72">
        <v>9</v>
      </c>
      <c r="M93" s="73">
        <f>(L63-(N92*29))*8.25*30/36500</f>
        <v>6159.020547945205</v>
      </c>
      <c r="N93" s="73">
        <v>130000</v>
      </c>
      <c r="O93" s="48"/>
    </row>
    <row r="94" spans="2:15" ht="15">
      <c r="B94" s="58">
        <v>5</v>
      </c>
      <c r="C94" s="57">
        <f>(B63-(D93*30))*8.25*31/36500</f>
        <v>2261.110273972603</v>
      </c>
      <c r="D94" s="57">
        <v>65000</v>
      </c>
      <c r="E94" s="55"/>
      <c r="G94" s="58">
        <v>12</v>
      </c>
      <c r="H94" s="57">
        <f>(G63-(I93*30))*8.25*31/36500</f>
        <v>4412.21301369863</v>
      </c>
      <c r="I94" s="57">
        <v>105000</v>
      </c>
      <c r="J94" s="48">
        <v>1260000</v>
      </c>
      <c r="L94" s="72">
        <v>10</v>
      </c>
      <c r="M94" s="73">
        <f>(L63-(N93*30))*8.25*31/36500</f>
        <v>5453.430821917808</v>
      </c>
      <c r="N94" s="73">
        <v>130000</v>
      </c>
      <c r="O94" s="48"/>
    </row>
    <row r="95" spans="2:15" ht="15">
      <c r="B95" s="58">
        <v>6</v>
      </c>
      <c r="C95" s="57">
        <f>(B63-(D94*31))*8.25*30/36500</f>
        <v>1747.4178082191781</v>
      </c>
      <c r="D95" s="57">
        <v>65000</v>
      </c>
      <c r="E95" s="55"/>
      <c r="F95">
        <v>2023</v>
      </c>
      <c r="G95" s="72">
        <v>1</v>
      </c>
      <c r="H95" s="73">
        <f>(G63-(I94*31))*8.25*31/36500</f>
        <v>3676.4938356164384</v>
      </c>
      <c r="I95" s="73">
        <v>105000</v>
      </c>
      <c r="J95" s="48"/>
      <c r="L95" s="74" t="s">
        <v>74</v>
      </c>
      <c r="M95" s="73">
        <f>(L63-(N94*31))*8.25*30/36500</f>
        <v>4396.006849315068</v>
      </c>
      <c r="N95" s="73">
        <v>130000</v>
      </c>
      <c r="O95" s="48"/>
    </row>
    <row r="96" spans="2:15" ht="15">
      <c r="B96" s="58">
        <v>7</v>
      </c>
      <c r="C96" s="57">
        <f>(B63-(D95*32))*8.25*31/36500</f>
        <v>1350.2198630136986</v>
      </c>
      <c r="D96" s="57">
        <v>65000</v>
      </c>
      <c r="E96" s="55"/>
      <c r="G96" s="72">
        <v>2</v>
      </c>
      <c r="H96" s="73">
        <f>(G63-(I95*32))*8.25*28/36500</f>
        <v>2656.1835616438357</v>
      </c>
      <c r="I96" s="73">
        <v>105000</v>
      </c>
      <c r="J96" s="48"/>
      <c r="L96" s="72">
        <v>12</v>
      </c>
      <c r="M96" s="73">
        <f>(L63-(N95*32))*8.25*31/36500</f>
        <v>3631.65</v>
      </c>
      <c r="N96" s="73">
        <v>130000</v>
      </c>
      <c r="O96" s="48"/>
    </row>
    <row r="97" spans="2:15" ht="15">
      <c r="B97" s="58">
        <v>8</v>
      </c>
      <c r="C97" s="57">
        <f>(B63-(D96*33))*8.25*31/36500</f>
        <v>894.7746575342466</v>
      </c>
      <c r="D97" s="57">
        <v>65000</v>
      </c>
      <c r="E97" s="55"/>
      <c r="G97" s="72">
        <v>3</v>
      </c>
      <c r="H97" s="73">
        <f>(G63-(I96*33))*8.25*31/36500</f>
        <v>2205.055479452055</v>
      </c>
      <c r="I97" s="73">
        <v>105000</v>
      </c>
      <c r="J97" s="48"/>
      <c r="K97">
        <v>2024</v>
      </c>
      <c r="L97" s="64">
        <v>1</v>
      </c>
      <c r="M97" s="54">
        <f>(L63-(N96*33))*8.25*31/36500</f>
        <v>2720.7595890410958</v>
      </c>
      <c r="N97" s="54">
        <v>130000</v>
      </c>
      <c r="O97" s="48"/>
    </row>
    <row r="98" spans="2:15" ht="15">
      <c r="B98" s="58">
        <v>9</v>
      </c>
      <c r="C98" s="57">
        <f>(B63-(D97*34))*8.25*30/36500</f>
        <v>425.1575342465753</v>
      </c>
      <c r="D98" s="57">
        <v>60000</v>
      </c>
      <c r="E98" s="55"/>
      <c r="G98" s="72">
        <v>4</v>
      </c>
      <c r="H98" s="73">
        <f>(G63-(I97*34))*8.25*30/36500</f>
        <v>1421.9383561643835</v>
      </c>
      <c r="I98" s="73">
        <v>105000</v>
      </c>
      <c r="J98" s="48"/>
      <c r="L98" s="64">
        <v>2</v>
      </c>
      <c r="M98" s="54">
        <f>(L63-(N97*34))*8.25*28/36500</f>
        <v>1634.7205479452055</v>
      </c>
      <c r="N98" s="54">
        <v>130000</v>
      </c>
      <c r="O98" s="48"/>
    </row>
    <row r="99" spans="2:15" ht="15">
      <c r="B99" s="58">
        <v>10</v>
      </c>
      <c r="C99" s="57">
        <f>(B63-(D98*35))*8.25*31/36500</f>
        <v>1210.0828767123287</v>
      </c>
      <c r="D99" s="57">
        <v>2700</v>
      </c>
      <c r="E99" s="55">
        <v>582700</v>
      </c>
      <c r="G99" s="72">
        <v>5</v>
      </c>
      <c r="H99" s="73">
        <f>(G63-(I98*35))*8.25*31/36500</f>
        <v>733.6171232876712</v>
      </c>
      <c r="I99" s="73">
        <v>104700</v>
      </c>
      <c r="J99" s="55">
        <v>524700</v>
      </c>
      <c r="L99" s="64">
        <v>3</v>
      </c>
      <c r="M99" s="54">
        <f>(L63-(N98*35))*8.25*31/36500</f>
        <v>898.9787671232876</v>
      </c>
      <c r="N99" s="54">
        <v>128300</v>
      </c>
      <c r="O99" s="55"/>
    </row>
    <row r="100" spans="4:14" ht="15">
      <c r="D100" s="65">
        <f>SUM(D64:D99)</f>
        <v>2272700</v>
      </c>
      <c r="H100" s="1"/>
      <c r="I100" s="65">
        <f>SUM(I64:I99)</f>
        <v>3779700</v>
      </c>
      <c r="M100" s="1"/>
      <c r="N100" s="65">
        <f>SUM(N64:N99)</f>
        <v>4678300</v>
      </c>
    </row>
    <row r="101" spans="9:14" ht="15">
      <c r="I101" s="55"/>
      <c r="N101" s="55"/>
    </row>
    <row r="102" spans="9:14" ht="15">
      <c r="I102" s="70"/>
      <c r="N102" s="70"/>
    </row>
  </sheetData>
  <sheetProtection/>
  <mergeCells count="6">
    <mergeCell ref="D1:E1"/>
    <mergeCell ref="C2:E2"/>
    <mergeCell ref="A4:E4"/>
    <mergeCell ref="A40:H40"/>
    <mergeCell ref="A41:E41"/>
    <mergeCell ref="A52:E52"/>
  </mergeCells>
  <printOptions/>
  <pageMargins left="0.5118110236220472" right="0" top="0.35433070866141736" bottom="0.35433070866141736" header="0" footer="0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4">
      <selection activeCell="D41" sqref="D41"/>
    </sheetView>
  </sheetViews>
  <sheetFormatPr defaultColWidth="9.140625" defaultRowHeight="15"/>
  <cols>
    <col min="1" max="1" width="51.421875" style="0" customWidth="1"/>
    <col min="2" max="2" width="22.28125" style="0" customWidth="1"/>
    <col min="3" max="3" width="15.57421875" style="1" customWidth="1"/>
    <col min="4" max="4" width="13.28125" style="31" customWidth="1"/>
    <col min="5" max="5" width="14.00390625" style="0" customWidth="1"/>
    <col min="6" max="6" width="10.28125" style="0" customWidth="1"/>
    <col min="7" max="7" width="20.421875" style="0" customWidth="1"/>
    <col min="8" max="8" width="13.57421875" style="0" customWidth="1"/>
    <col min="9" max="9" width="12.421875" style="0" customWidth="1"/>
    <col min="12" max="12" width="16.140625" style="0" customWidth="1"/>
    <col min="13" max="13" width="15.57421875" style="0" customWidth="1"/>
  </cols>
  <sheetData>
    <row r="1" spans="1:5" ht="15">
      <c r="A1" s="5"/>
      <c r="B1" s="36"/>
      <c r="C1" s="36"/>
      <c r="D1" s="80" t="s">
        <v>33</v>
      </c>
      <c r="E1" s="80"/>
    </row>
    <row r="2" spans="1:5" ht="45" customHeight="1">
      <c r="A2" s="5"/>
      <c r="B2" s="35"/>
      <c r="C2" s="81" t="s">
        <v>69</v>
      </c>
      <c r="D2" s="81"/>
      <c r="E2" s="81"/>
    </row>
    <row r="3" spans="1:3" ht="6" customHeight="1">
      <c r="A3" s="5"/>
      <c r="B3" s="6"/>
      <c r="C3" s="7"/>
    </row>
    <row r="4" spans="1:5" ht="24" customHeight="1">
      <c r="A4" s="82" t="s">
        <v>82</v>
      </c>
      <c r="B4" s="82"/>
      <c r="C4" s="82"/>
      <c r="D4" s="82"/>
      <c r="E4" s="82"/>
    </row>
    <row r="5" spans="1:5" ht="14.25" customHeight="1">
      <c r="A5" s="8"/>
      <c r="B5" s="8"/>
      <c r="C5" s="7"/>
      <c r="E5" s="7" t="s">
        <v>11</v>
      </c>
    </row>
    <row r="6" spans="1:5" ht="34.5" customHeight="1">
      <c r="A6" s="9" t="s">
        <v>0</v>
      </c>
      <c r="B6" s="9" t="s">
        <v>1</v>
      </c>
      <c r="C6" s="34">
        <v>2019</v>
      </c>
      <c r="D6" s="34">
        <v>2020</v>
      </c>
      <c r="E6" s="34">
        <v>2021</v>
      </c>
    </row>
    <row r="7" spans="1:5" ht="10.5" customHeight="1">
      <c r="A7" s="10" t="s">
        <v>12</v>
      </c>
      <c r="B7" s="37" t="s">
        <v>13</v>
      </c>
      <c r="C7" s="37">
        <v>3</v>
      </c>
      <c r="D7" s="38">
        <v>4</v>
      </c>
      <c r="E7" s="37" t="s">
        <v>14</v>
      </c>
    </row>
    <row r="8" spans="1:5" ht="12" customHeight="1">
      <c r="A8" s="12" t="s">
        <v>67</v>
      </c>
      <c r="B8" s="9"/>
      <c r="C8" s="33">
        <v>19279279.53</v>
      </c>
      <c r="D8" s="33">
        <v>0</v>
      </c>
      <c r="E8" s="2">
        <v>0</v>
      </c>
    </row>
    <row r="9" spans="1:5" ht="6.75" customHeight="1">
      <c r="A9" s="12"/>
      <c r="B9" s="9"/>
      <c r="C9" s="33"/>
      <c r="D9" s="33"/>
      <c r="E9" s="2"/>
    </row>
    <row r="10" spans="1:5" ht="15" customHeight="1">
      <c r="A10" s="12" t="s">
        <v>68</v>
      </c>
      <c r="B10" s="9"/>
      <c r="C10" s="33">
        <f>C11+C16</f>
        <v>-214300</v>
      </c>
      <c r="D10" s="33">
        <f>D11+D16</f>
        <v>0</v>
      </c>
      <c r="E10" s="33">
        <f>E11+E16</f>
        <v>0</v>
      </c>
    </row>
    <row r="11" spans="1:5" ht="23.25" customHeight="1">
      <c r="A11" s="3" t="s">
        <v>15</v>
      </c>
      <c r="B11" s="76" t="s">
        <v>2</v>
      </c>
      <c r="C11" s="11">
        <f>C12+C14</f>
        <v>0</v>
      </c>
      <c r="D11" s="39">
        <f>D12+D14</f>
        <v>2264700</v>
      </c>
      <c r="E11" s="11">
        <f>E12+E14</f>
        <v>1468300</v>
      </c>
    </row>
    <row r="12" spans="1:5" ht="24" customHeight="1">
      <c r="A12" s="4" t="s">
        <v>40</v>
      </c>
      <c r="B12" s="77" t="s">
        <v>3</v>
      </c>
      <c r="C12" s="2">
        <v>0</v>
      </c>
      <c r="D12" s="2">
        <f>D13</f>
        <v>3779700</v>
      </c>
      <c r="E12" s="2">
        <f>E13</f>
        <v>4678300</v>
      </c>
    </row>
    <row r="13" spans="1:7" ht="24" customHeight="1">
      <c r="A13" s="12" t="s">
        <v>83</v>
      </c>
      <c r="B13" s="77" t="s">
        <v>4</v>
      </c>
      <c r="C13" s="2">
        <v>0</v>
      </c>
      <c r="D13" s="33">
        <v>3779700</v>
      </c>
      <c r="E13" s="2">
        <v>4678300</v>
      </c>
      <c r="G13" s="71"/>
    </row>
    <row r="14" spans="1:5" ht="24" customHeight="1">
      <c r="A14" s="12" t="s">
        <v>20</v>
      </c>
      <c r="B14" s="77" t="s">
        <v>5</v>
      </c>
      <c r="C14" s="2">
        <v>0</v>
      </c>
      <c r="D14" s="2">
        <f>D15</f>
        <v>-1515000</v>
      </c>
      <c r="E14" s="2">
        <f>E15</f>
        <v>-3210000</v>
      </c>
    </row>
    <row r="15" spans="1:7" ht="24" customHeight="1">
      <c r="A15" s="12" t="s">
        <v>84</v>
      </c>
      <c r="B15" s="77" t="s">
        <v>6</v>
      </c>
      <c r="C15" s="2">
        <v>0</v>
      </c>
      <c r="D15" s="33">
        <v>-1515000</v>
      </c>
      <c r="E15" s="2">
        <v>-3210000</v>
      </c>
      <c r="G15" s="71"/>
    </row>
    <row r="16" spans="1:5" ht="25.5" customHeight="1">
      <c r="A16" s="13" t="s">
        <v>16</v>
      </c>
      <c r="B16" s="76" t="s">
        <v>7</v>
      </c>
      <c r="C16" s="11">
        <f>C17</f>
        <v>-214300</v>
      </c>
      <c r="D16" s="11">
        <f>D17</f>
        <v>-2264700</v>
      </c>
      <c r="E16" s="11">
        <f>E17</f>
        <v>-1468300</v>
      </c>
    </row>
    <row r="17" spans="1:5" ht="26.25" customHeight="1">
      <c r="A17" s="14" t="s">
        <v>41</v>
      </c>
      <c r="B17" s="78" t="s">
        <v>42</v>
      </c>
      <c r="C17" s="11">
        <f>C19+C23</f>
        <v>-214300</v>
      </c>
      <c r="D17" s="39">
        <f>D19+D23</f>
        <v>-2264700</v>
      </c>
      <c r="E17" s="11">
        <f>E23</f>
        <v>-1468300</v>
      </c>
    </row>
    <row r="18" spans="1:5" ht="27" customHeight="1">
      <c r="A18" s="12" t="s">
        <v>23</v>
      </c>
      <c r="B18" s="77" t="s">
        <v>86</v>
      </c>
      <c r="C18" s="2">
        <v>1928400</v>
      </c>
      <c r="D18" s="33">
        <f>D19</f>
        <v>0</v>
      </c>
      <c r="E18" s="2">
        <f>E19</f>
        <v>0</v>
      </c>
    </row>
    <row r="19" spans="1:5" ht="36" customHeight="1">
      <c r="A19" s="12" t="s">
        <v>85</v>
      </c>
      <c r="B19" s="77" t="s">
        <v>38</v>
      </c>
      <c r="C19" s="2">
        <v>1928400</v>
      </c>
      <c r="D19" s="33">
        <v>0</v>
      </c>
      <c r="E19" s="2">
        <v>0</v>
      </c>
    </row>
    <row r="20" spans="1:5" ht="12" customHeight="1">
      <c r="A20" s="15" t="s">
        <v>43</v>
      </c>
      <c r="B20" s="77"/>
      <c r="C20" s="2"/>
      <c r="D20" s="33"/>
      <c r="E20" s="2"/>
    </row>
    <row r="21" spans="1:5" ht="34.5" customHeight="1">
      <c r="A21" s="15" t="s">
        <v>46</v>
      </c>
      <c r="B21" s="79" t="s">
        <v>38</v>
      </c>
      <c r="C21" s="2">
        <v>0</v>
      </c>
      <c r="D21" s="33">
        <v>0</v>
      </c>
      <c r="E21" s="2">
        <v>0</v>
      </c>
    </row>
    <row r="22" spans="1:5" ht="30" customHeight="1">
      <c r="A22" s="16" t="s">
        <v>47</v>
      </c>
      <c r="B22" s="79" t="s">
        <v>38</v>
      </c>
      <c r="C22" s="2">
        <v>1928400</v>
      </c>
      <c r="D22" s="33">
        <v>0</v>
      </c>
      <c r="E22" s="2">
        <v>0</v>
      </c>
    </row>
    <row r="23" spans="1:5" ht="39" customHeight="1">
      <c r="A23" s="17" t="s">
        <v>44</v>
      </c>
      <c r="B23" s="78" t="s">
        <v>45</v>
      </c>
      <c r="C23" s="33">
        <f>C24</f>
        <v>-2142700</v>
      </c>
      <c r="D23" s="33">
        <f>D24</f>
        <v>-2264700</v>
      </c>
      <c r="E23" s="33">
        <f>E24</f>
        <v>-1468300</v>
      </c>
    </row>
    <row r="24" spans="1:5" ht="33.75" customHeight="1">
      <c r="A24" s="12" t="s">
        <v>87</v>
      </c>
      <c r="B24" s="77" t="s">
        <v>48</v>
      </c>
      <c r="C24" s="2">
        <f>C27</f>
        <v>-2142700</v>
      </c>
      <c r="D24" s="2">
        <f>D27</f>
        <v>-2264700</v>
      </c>
      <c r="E24" s="2">
        <f>E27</f>
        <v>-1468300</v>
      </c>
    </row>
    <row r="25" spans="1:5" ht="11.25" customHeight="1">
      <c r="A25" s="15" t="s">
        <v>43</v>
      </c>
      <c r="B25" s="77"/>
      <c r="C25" s="2"/>
      <c r="D25" s="33"/>
      <c r="E25" s="2"/>
    </row>
    <row r="26" spans="1:5" ht="35.25" customHeight="1">
      <c r="A26" s="15" t="s">
        <v>50</v>
      </c>
      <c r="B26" s="77" t="s">
        <v>48</v>
      </c>
      <c r="C26" s="2">
        <v>0</v>
      </c>
      <c r="D26" s="33">
        <v>0</v>
      </c>
      <c r="E26" s="2">
        <v>0</v>
      </c>
    </row>
    <row r="27" spans="1:5" ht="30.75" customHeight="1">
      <c r="A27" s="16" t="s">
        <v>49</v>
      </c>
      <c r="B27" s="77" t="s">
        <v>48</v>
      </c>
      <c r="C27" s="2">
        <v>-2142700</v>
      </c>
      <c r="D27" s="33">
        <v>-2264700</v>
      </c>
      <c r="E27" s="2">
        <v>-1468300</v>
      </c>
    </row>
    <row r="28" spans="1:5" ht="24.75" customHeight="1">
      <c r="A28" s="13" t="s">
        <v>18</v>
      </c>
      <c r="B28" s="76" t="s">
        <v>8</v>
      </c>
      <c r="C28" s="11">
        <f>C29</f>
        <v>0</v>
      </c>
      <c r="D28" s="39">
        <f>D29</f>
        <v>0</v>
      </c>
      <c r="E28" s="11">
        <f>E29</f>
        <v>0</v>
      </c>
    </row>
    <row r="29" spans="1:5" ht="24.75" customHeight="1">
      <c r="A29" s="12" t="s">
        <v>19</v>
      </c>
      <c r="B29" s="77" t="s">
        <v>9</v>
      </c>
      <c r="C29" s="2">
        <f>C30+C33</f>
        <v>0</v>
      </c>
      <c r="D29" s="33">
        <f>D30+D33</f>
        <v>0</v>
      </c>
      <c r="E29" s="2">
        <f>E30+E33</f>
        <v>0</v>
      </c>
    </row>
    <row r="30" spans="1:5" ht="22.5" customHeight="1">
      <c r="A30" s="12" t="s">
        <v>88</v>
      </c>
      <c r="B30" s="77" t="s">
        <v>27</v>
      </c>
      <c r="C30" s="2">
        <f aca="true" t="shared" si="0" ref="C30:E31">C31</f>
        <v>0</v>
      </c>
      <c r="D30" s="33">
        <f t="shared" si="0"/>
        <v>0</v>
      </c>
      <c r="E30" s="2">
        <f t="shared" si="0"/>
        <v>0</v>
      </c>
    </row>
    <row r="31" spans="1:5" ht="33.75" customHeight="1">
      <c r="A31" s="13" t="s">
        <v>89</v>
      </c>
      <c r="B31" s="76" t="s">
        <v>29</v>
      </c>
      <c r="C31" s="11">
        <f t="shared" si="0"/>
        <v>0</v>
      </c>
      <c r="D31" s="39">
        <f t="shared" si="0"/>
        <v>0</v>
      </c>
      <c r="E31" s="11">
        <f t="shared" si="0"/>
        <v>0</v>
      </c>
    </row>
    <row r="32" spans="1:5" ht="24" customHeight="1">
      <c r="A32" s="12" t="s">
        <v>30</v>
      </c>
      <c r="B32" s="77" t="s">
        <v>35</v>
      </c>
      <c r="C32" s="2">
        <v>0</v>
      </c>
      <c r="D32" s="33">
        <v>0</v>
      </c>
      <c r="E32" s="2">
        <v>0</v>
      </c>
    </row>
    <row r="33" spans="1:5" ht="24.75" customHeight="1">
      <c r="A33" s="13" t="s">
        <v>32</v>
      </c>
      <c r="B33" s="76" t="s">
        <v>31</v>
      </c>
      <c r="C33" s="11">
        <f>C34</f>
        <v>0</v>
      </c>
      <c r="D33" s="39">
        <f>D34</f>
        <v>0</v>
      </c>
      <c r="E33" s="11">
        <f>E34</f>
        <v>0</v>
      </c>
    </row>
    <row r="34" spans="1:5" ht="31.5" customHeight="1">
      <c r="A34" s="12" t="s">
        <v>90</v>
      </c>
      <c r="B34" s="77" t="s">
        <v>10</v>
      </c>
      <c r="C34" s="2">
        <v>0</v>
      </c>
      <c r="D34" s="33">
        <v>0</v>
      </c>
      <c r="E34" s="2">
        <v>0</v>
      </c>
    </row>
    <row r="35" spans="1:5" ht="20.25" customHeight="1">
      <c r="A35" s="12" t="s">
        <v>91</v>
      </c>
      <c r="B35" s="77" t="s">
        <v>58</v>
      </c>
      <c r="C35" s="33">
        <v>19493579.53</v>
      </c>
      <c r="D35" s="33">
        <v>0</v>
      </c>
      <c r="E35" s="33">
        <v>0</v>
      </c>
    </row>
    <row r="36" spans="1:5" ht="18" customHeight="1">
      <c r="A36" s="12" t="s">
        <v>92</v>
      </c>
      <c r="B36" s="77" t="s">
        <v>60</v>
      </c>
      <c r="C36" s="33">
        <v>19493579.53</v>
      </c>
      <c r="D36" s="33">
        <v>0</v>
      </c>
      <c r="E36" s="33">
        <v>0</v>
      </c>
    </row>
  </sheetData>
  <sheetProtection/>
  <mergeCells count="3">
    <mergeCell ref="D1:E1"/>
    <mergeCell ref="C2:E2"/>
    <mergeCell ref="A4:E4"/>
  </mergeCells>
  <printOptions/>
  <pageMargins left="0.5118110236220472" right="0" top="0.35433070866141736" bottom="0.35433070866141736" header="0" footer="0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2019-10-04T06:39:01Z</dcterms:modified>
  <cp:category/>
  <cp:version/>
  <cp:contentType/>
  <cp:contentStatus/>
</cp:coreProperties>
</file>